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2013" sheetId="2" r:id="rId1"/>
  </sheets>
  <calcPr calcId="125725" refMode="R1C1"/>
</workbook>
</file>

<file path=xl/calcChain.xml><?xml version="1.0" encoding="utf-8"?>
<calcChain xmlns="http://schemas.openxmlformats.org/spreadsheetml/2006/main">
  <c r="G68" i="2"/>
  <c r="G67"/>
  <c r="G17"/>
  <c r="F17"/>
  <c r="G32"/>
  <c r="F32"/>
  <c r="F26"/>
  <c r="F34"/>
  <c r="G26"/>
  <c r="H10"/>
  <c r="G38" l="1"/>
  <c r="G36"/>
  <c r="F38"/>
  <c r="F36"/>
  <c r="F65"/>
  <c r="F67"/>
  <c r="F63"/>
  <c r="G43" l="1"/>
  <c r="G29"/>
  <c r="G60"/>
  <c r="F47"/>
  <c r="G47"/>
  <c r="H59"/>
  <c r="H58"/>
  <c r="C52"/>
  <c r="F18"/>
  <c r="F60"/>
  <c r="F48"/>
  <c r="F52"/>
  <c r="H52" s="1"/>
  <c r="C51"/>
  <c r="C56"/>
  <c r="C55"/>
  <c r="C54"/>
  <c r="C53"/>
  <c r="F55"/>
  <c r="F27"/>
  <c r="F57"/>
  <c r="F41"/>
  <c r="F46"/>
  <c r="F51"/>
  <c r="F28"/>
  <c r="F53"/>
  <c r="F42"/>
  <c r="G34"/>
  <c r="G27"/>
  <c r="G42"/>
  <c r="G41"/>
  <c r="G53"/>
  <c r="G48"/>
  <c r="G55"/>
  <c r="G45"/>
  <c r="C60"/>
  <c r="C59"/>
  <c r="F56"/>
  <c r="F45"/>
  <c r="C58"/>
  <c r="F29"/>
  <c r="H47" l="1"/>
  <c r="G30"/>
  <c r="G44"/>
  <c r="G28"/>
  <c r="G20" l="1"/>
  <c r="F20"/>
  <c r="E34"/>
  <c r="E33"/>
  <c r="E30"/>
  <c r="E29"/>
  <c r="E28"/>
  <c r="E26"/>
  <c r="E17"/>
  <c r="E36"/>
  <c r="E38"/>
  <c r="E41"/>
  <c r="E42"/>
  <c r="E47"/>
  <c r="E48"/>
  <c r="E68"/>
  <c r="D68"/>
  <c r="D67"/>
  <c r="D66"/>
  <c r="D65"/>
  <c r="D62"/>
  <c r="D50"/>
  <c r="D49"/>
  <c r="D48"/>
  <c r="D47"/>
  <c r="D46"/>
  <c r="D45"/>
  <c r="D44"/>
  <c r="D43"/>
  <c r="D42"/>
  <c r="D41"/>
  <c r="D38"/>
  <c r="D36"/>
  <c r="D34"/>
  <c r="D33"/>
  <c r="D32"/>
  <c r="D28"/>
  <c r="D27"/>
  <c r="D26"/>
  <c r="D20"/>
  <c r="D18"/>
  <c r="D17"/>
  <c r="H38"/>
  <c r="C70"/>
  <c r="E70"/>
  <c r="D70"/>
  <c r="G16" l="1"/>
  <c r="H51"/>
  <c r="H41"/>
  <c r="H26"/>
  <c r="H32"/>
  <c r="H27"/>
  <c r="C30"/>
  <c r="C34"/>
  <c r="C20"/>
  <c r="H63"/>
  <c r="H62"/>
  <c r="H57"/>
  <c r="H56"/>
  <c r="H55"/>
  <c r="H54"/>
  <c r="H53"/>
  <c r="H49"/>
  <c r="H48"/>
  <c r="H46"/>
  <c r="H45"/>
  <c r="H44"/>
  <c r="H43"/>
  <c r="H42"/>
  <c r="H66"/>
  <c r="H65"/>
  <c r="H18"/>
  <c r="H17"/>
  <c r="H36"/>
  <c r="H34"/>
  <c r="H30"/>
  <c r="H29"/>
  <c r="H28"/>
  <c r="C67"/>
  <c r="C66"/>
  <c r="C65"/>
  <c r="C63"/>
  <c r="C62"/>
  <c r="G64"/>
  <c r="F64"/>
  <c r="G61"/>
  <c r="F61"/>
  <c r="E61"/>
  <c r="E40"/>
  <c r="C57"/>
  <c r="C50"/>
  <c r="C49"/>
  <c r="C48"/>
  <c r="C47"/>
  <c r="C46"/>
  <c r="C45"/>
  <c r="C44"/>
  <c r="C43"/>
  <c r="C42"/>
  <c r="C41"/>
  <c r="C38"/>
  <c r="C36"/>
  <c r="C33"/>
  <c r="C32"/>
  <c r="C29"/>
  <c r="F31"/>
  <c r="E31"/>
  <c r="C28"/>
  <c r="C27"/>
  <c r="C26"/>
  <c r="E25"/>
  <c r="D64"/>
  <c r="D61"/>
  <c r="D40"/>
  <c r="D31"/>
  <c r="D25"/>
  <c r="D16"/>
  <c r="C18"/>
  <c r="C17"/>
  <c r="E16"/>
  <c r="C16" l="1"/>
  <c r="C61"/>
  <c r="E14"/>
  <c r="C40"/>
  <c r="H31"/>
  <c r="H61"/>
  <c r="H40"/>
  <c r="F16"/>
  <c r="F14" s="1"/>
  <c r="C68"/>
  <c r="C64" s="1"/>
  <c r="H16"/>
  <c r="F25"/>
  <c r="G40"/>
  <c r="G25"/>
  <c r="G31"/>
  <c r="E64"/>
  <c r="E23"/>
  <c r="C31"/>
  <c r="D14"/>
  <c r="H64"/>
  <c r="G14"/>
  <c r="F40"/>
  <c r="D23"/>
  <c r="D21" s="1"/>
  <c r="C25"/>
  <c r="H14" l="1"/>
  <c r="C14"/>
  <c r="C23"/>
  <c r="C21" s="1"/>
  <c r="F23"/>
  <c r="F21" s="1"/>
  <c r="F69" s="1"/>
  <c r="H25"/>
  <c r="H23" s="1"/>
  <c r="H21" s="1"/>
  <c r="G23"/>
  <c r="G21" s="1"/>
  <c r="G69" s="1"/>
  <c r="E21"/>
  <c r="E69" s="1"/>
  <c r="D69"/>
  <c r="C69" l="1"/>
  <c r="H69"/>
</calcChain>
</file>

<file path=xl/sharedStrings.xml><?xml version="1.0" encoding="utf-8"?>
<sst xmlns="http://schemas.openxmlformats.org/spreadsheetml/2006/main" count="142" uniqueCount="83">
  <si>
    <t>ед. изм</t>
  </si>
  <si>
    <t>Наименование статей</t>
  </si>
  <si>
    <t>работающих</t>
  </si>
  <si>
    <t xml:space="preserve">1. Среднесписочная численность </t>
  </si>
  <si>
    <t>1.1. Среднемесячная заработная</t>
  </si>
  <si>
    <t>плата</t>
  </si>
  <si>
    <t>чел.</t>
  </si>
  <si>
    <t>руб.</t>
  </si>
  <si>
    <t>т.руб.</t>
  </si>
  <si>
    <t>2. Доходы, всего</t>
  </si>
  <si>
    <t xml:space="preserve">2.1. Выручка от реализации </t>
  </si>
  <si>
    <t>продукции, услуг , в т.ч.:</t>
  </si>
  <si>
    <t xml:space="preserve"> - утилизация</t>
  </si>
  <si>
    <t xml:space="preserve"> -реализация теплоэнергии</t>
  </si>
  <si>
    <t>3. Расходы, всего:</t>
  </si>
  <si>
    <t>3.1. Себестоимость реализации,</t>
  </si>
  <si>
    <t>в т.ч.</t>
  </si>
  <si>
    <t xml:space="preserve">3.1.1. Материальные затраты, </t>
  </si>
  <si>
    <t xml:space="preserve"> - материалы</t>
  </si>
  <si>
    <t xml:space="preserve"> -водоснабжение</t>
  </si>
  <si>
    <t xml:space="preserve"> -электроэнергия</t>
  </si>
  <si>
    <t xml:space="preserve"> </t>
  </si>
  <si>
    <t>3.1.2. Эксплуатационные расходы</t>
  </si>
  <si>
    <t xml:space="preserve"> - автоуслуги</t>
  </si>
  <si>
    <t xml:space="preserve"> - амортизация</t>
  </si>
  <si>
    <t xml:space="preserve"> - ремонт основных средств</t>
  </si>
  <si>
    <t>начисления на фонд оплаты труда</t>
  </si>
  <si>
    <t>себестоимости</t>
  </si>
  <si>
    <t xml:space="preserve"> - расходы на экологию</t>
  </si>
  <si>
    <t xml:space="preserve"> - расходы на канцтовары</t>
  </si>
  <si>
    <t xml:space="preserve"> - расходы на поверку приборов</t>
  </si>
  <si>
    <t xml:space="preserve"> - расходы на обслуж-е пож.сигнал.</t>
  </si>
  <si>
    <t xml:space="preserve"> - расходы на охрану труда</t>
  </si>
  <si>
    <t xml:space="preserve"> - расходы на охрану предприятия</t>
  </si>
  <si>
    <t xml:space="preserve"> - расходы на аудит</t>
  </si>
  <si>
    <t xml:space="preserve"> - налоги</t>
  </si>
  <si>
    <t xml:space="preserve"> - банковские услуги</t>
  </si>
  <si>
    <t xml:space="preserve"> - превышение ПДК</t>
  </si>
  <si>
    <t>части прибыли за пользование</t>
  </si>
  <si>
    <t>муниципальным имуществом</t>
  </si>
  <si>
    <t>План</t>
  </si>
  <si>
    <t xml:space="preserve"> - обучение персонала</t>
  </si>
  <si>
    <t xml:space="preserve">  - прочие</t>
  </si>
  <si>
    <t xml:space="preserve">   - прочие</t>
  </si>
  <si>
    <t xml:space="preserve"> - транспортные расходы</t>
  </si>
  <si>
    <t>площадка № 1</t>
  </si>
  <si>
    <t>площадка № 2</t>
  </si>
  <si>
    <t xml:space="preserve">  -  аренда помещения</t>
  </si>
  <si>
    <t xml:space="preserve">И.о.директора МУПВ "Спецзавод № 1"  </t>
  </si>
  <si>
    <t>В.Ю. Чеботарев</t>
  </si>
  <si>
    <t xml:space="preserve">                Гл. бухгалтер</t>
  </si>
  <si>
    <t>2013 год</t>
  </si>
  <si>
    <t>2.2 Прочие доходы, в т.ч.:</t>
  </si>
  <si>
    <t>3.2. Затраты на оплату труда и</t>
  </si>
  <si>
    <t>3.3. Страховые взносы в государственые внебюджетные фонды</t>
  </si>
  <si>
    <t xml:space="preserve">3.4. Прочие расходы в структуре </t>
  </si>
  <si>
    <t>3.5. Внереализационные доходы</t>
  </si>
  <si>
    <t>3.6. Прочие расходы, в т.ч.</t>
  </si>
  <si>
    <t>4.Прибыль до налогообложения</t>
  </si>
  <si>
    <t>5. Чистая прибыль (убыток)</t>
  </si>
  <si>
    <t>5.1. Отчисления в бюджет города</t>
  </si>
  <si>
    <t xml:space="preserve"> - ГСМ</t>
  </si>
  <si>
    <t xml:space="preserve"> - расходы на связь</t>
  </si>
  <si>
    <t xml:space="preserve">  -  техобслуживание </t>
  </si>
  <si>
    <t xml:space="preserve">  -  нотариальные услуги</t>
  </si>
  <si>
    <t xml:space="preserve"> - консультационные услуги</t>
  </si>
  <si>
    <t xml:space="preserve"> - подписка</t>
  </si>
  <si>
    <t xml:space="preserve">  - прочие </t>
  </si>
  <si>
    <t>О.Ю. Насонова</t>
  </si>
  <si>
    <t xml:space="preserve"> - автошины</t>
  </si>
  <si>
    <t xml:space="preserve">                    финансово-хозяйственной деятельности за  2013 год</t>
  </si>
  <si>
    <t>ПЛАН  2013 год</t>
  </si>
  <si>
    <t xml:space="preserve"> 2013 год</t>
  </si>
  <si>
    <t>ОТЧЕТ  2013 год</t>
  </si>
  <si>
    <t>ВСЕГО          ФАКТ  2013 год</t>
  </si>
  <si>
    <t xml:space="preserve"> - вывоз ЖБО  </t>
  </si>
  <si>
    <t xml:space="preserve"> - экспертиза промбезопасности котлов и трубопроводов пара</t>
  </si>
  <si>
    <t xml:space="preserve">   - аттестация рабочих мест</t>
  </si>
  <si>
    <t xml:space="preserve">  -  информационное сопровождение</t>
  </si>
  <si>
    <t xml:space="preserve"> -реализация вторсырья</t>
  </si>
  <si>
    <t>по Муниципальному унитарному предприятию города Владивостока</t>
  </si>
  <si>
    <t xml:space="preserve">                                                        "СПЕЦЗАВОД №1"</t>
  </si>
  <si>
    <t xml:space="preserve">             ОТЧЕТ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</si>
</sst>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0" xfId="0" applyFont="1" applyFill="1"/>
    <xf numFmtId="0" fontId="6" fillId="2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3" xfId="0" applyFont="1" applyFill="1" applyBorder="1" applyAlignment="1">
      <alignment horizontal="center"/>
    </xf>
    <xf numFmtId="0" fontId="0" fillId="2" borderId="12" xfId="0" applyFill="1" applyBorder="1"/>
    <xf numFmtId="0" fontId="0" fillId="2" borderId="6" xfId="0" applyFill="1" applyBorder="1" applyAlignment="1">
      <alignment horizontal="center"/>
    </xf>
    <xf numFmtId="0" fontId="0" fillId="2" borderId="11" xfId="0" applyFill="1" applyBorder="1"/>
    <xf numFmtId="0" fontId="0" fillId="2" borderId="4" xfId="0" applyFill="1" applyBorder="1" applyAlignment="1">
      <alignment horizontal="center"/>
    </xf>
    <xf numFmtId="0" fontId="2" fillId="2" borderId="13" xfId="0" applyFont="1" applyFill="1" applyBorder="1"/>
    <xf numFmtId="0" fontId="13" fillId="2" borderId="4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1" xfId="0" applyFont="1" applyFill="1" applyBorder="1"/>
    <xf numFmtId="0" fontId="0" fillId="2" borderId="4" xfId="0" applyFill="1" applyBorder="1"/>
    <xf numFmtId="0" fontId="9" fillId="2" borderId="4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6" xfId="0" applyFill="1" applyBorder="1"/>
    <xf numFmtId="0" fontId="0" fillId="2" borderId="13" xfId="0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0" xfId="0" applyFill="1"/>
    <xf numFmtId="0" fontId="14" fillId="2" borderId="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2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5" fillId="0" borderId="10" xfId="0" applyFont="1" applyBorder="1"/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77"/>
  <sheetViews>
    <sheetView tabSelected="1" topLeftCell="A48" workbookViewId="0">
      <selection activeCell="H69" sqref="H69"/>
    </sheetView>
  </sheetViews>
  <sheetFormatPr defaultRowHeight="14.4"/>
  <cols>
    <col min="1" max="1" width="35" customWidth="1"/>
    <col min="2" max="2" width="12.44140625" customWidth="1"/>
    <col min="3" max="3" width="13.5546875" customWidth="1"/>
    <col min="4" max="4" width="17.6640625" hidden="1" customWidth="1"/>
    <col min="5" max="5" width="17.88671875" hidden="1" customWidth="1"/>
    <col min="6" max="6" width="19.109375" hidden="1" customWidth="1"/>
    <col min="7" max="7" width="18" hidden="1" customWidth="1"/>
    <col min="8" max="8" width="16.5546875" customWidth="1"/>
  </cols>
  <sheetData>
    <row r="3" spans="1:8" ht="18">
      <c r="A3" s="78" t="s">
        <v>82</v>
      </c>
      <c r="B3" s="78"/>
      <c r="C3" s="78"/>
      <c r="D3" s="78"/>
      <c r="E3" s="78"/>
      <c r="F3" s="78"/>
      <c r="G3" s="78"/>
      <c r="H3" s="78"/>
    </row>
    <row r="4" spans="1:8" ht="18">
      <c r="A4" s="79" t="s">
        <v>70</v>
      </c>
      <c r="B4" s="79"/>
      <c r="C4" s="79"/>
      <c r="D4" s="79"/>
      <c r="E4" s="79"/>
      <c r="F4" s="79"/>
      <c r="G4" s="79"/>
      <c r="H4" s="79"/>
    </row>
    <row r="5" spans="1:8" ht="18">
      <c r="A5" s="79" t="s">
        <v>80</v>
      </c>
      <c r="B5" s="79"/>
      <c r="C5" s="79"/>
      <c r="D5" s="79"/>
      <c r="E5" s="79"/>
      <c r="F5" s="79"/>
      <c r="G5" s="79"/>
      <c r="H5" s="79"/>
    </row>
    <row r="6" spans="1:8" ht="18" customHeight="1">
      <c r="A6" s="80" t="s">
        <v>81</v>
      </c>
      <c r="B6" s="80"/>
      <c r="C6" s="80"/>
      <c r="D6" s="80"/>
      <c r="E6" s="80"/>
      <c r="F6" s="80"/>
      <c r="G6" s="80"/>
      <c r="H6" s="80"/>
    </row>
    <row r="7" spans="1:8">
      <c r="A7" s="1" t="s">
        <v>1</v>
      </c>
      <c r="B7" s="1" t="s">
        <v>0</v>
      </c>
      <c r="C7" s="10" t="s">
        <v>40</v>
      </c>
      <c r="D7" s="70" t="s">
        <v>71</v>
      </c>
      <c r="E7" s="71"/>
      <c r="F7" s="70" t="s">
        <v>73</v>
      </c>
      <c r="G7" s="72"/>
      <c r="H7" s="73" t="s">
        <v>74</v>
      </c>
    </row>
    <row r="8" spans="1:8">
      <c r="A8" s="3"/>
      <c r="B8" s="2"/>
      <c r="C8" s="11"/>
      <c r="D8" s="3" t="s">
        <v>51</v>
      </c>
      <c r="E8" s="3" t="s">
        <v>72</v>
      </c>
      <c r="F8" s="3" t="s">
        <v>72</v>
      </c>
      <c r="G8" s="3" t="s">
        <v>72</v>
      </c>
      <c r="H8" s="74"/>
    </row>
    <row r="9" spans="1:8">
      <c r="A9" s="16"/>
      <c r="B9" s="3"/>
      <c r="C9" s="11" t="s">
        <v>51</v>
      </c>
      <c r="D9" s="3" t="s">
        <v>45</v>
      </c>
      <c r="E9" s="3" t="s">
        <v>46</v>
      </c>
      <c r="F9" s="3" t="s">
        <v>45</v>
      </c>
      <c r="G9" s="16" t="s">
        <v>46</v>
      </c>
      <c r="H9" s="75"/>
    </row>
    <row r="10" spans="1:8">
      <c r="A10" s="18" t="s">
        <v>3</v>
      </c>
      <c r="B10" s="12" t="s">
        <v>6</v>
      </c>
      <c r="C10" s="56">
        <v>232</v>
      </c>
      <c r="D10" s="56">
        <v>85</v>
      </c>
      <c r="E10" s="56">
        <v>147</v>
      </c>
      <c r="F10" s="12">
        <v>87</v>
      </c>
      <c r="G10" s="13">
        <v>187</v>
      </c>
      <c r="H10" s="60">
        <f>SUM(F10:G10)</f>
        <v>274</v>
      </c>
    </row>
    <row r="11" spans="1:8">
      <c r="A11" s="19" t="s">
        <v>2</v>
      </c>
      <c r="B11" s="20"/>
      <c r="C11" s="57"/>
      <c r="D11" s="20"/>
      <c r="E11" s="20"/>
      <c r="F11" s="20"/>
      <c r="G11" s="61"/>
      <c r="H11" s="62" t="s">
        <v>21</v>
      </c>
    </row>
    <row r="12" spans="1:8">
      <c r="A12" s="21" t="s">
        <v>4</v>
      </c>
      <c r="B12" s="22" t="s">
        <v>7</v>
      </c>
      <c r="C12" s="55"/>
      <c r="D12" s="58"/>
      <c r="E12" s="58"/>
      <c r="F12" s="58"/>
      <c r="G12" s="63"/>
      <c r="H12" s="60"/>
    </row>
    <row r="13" spans="1:8">
      <c r="A13" s="23" t="s">
        <v>5</v>
      </c>
      <c r="B13" s="24"/>
      <c r="C13" s="82">
        <v>23976</v>
      </c>
      <c r="D13" s="59">
        <v>25200</v>
      </c>
      <c r="E13" s="59">
        <v>23268</v>
      </c>
      <c r="F13" s="24">
        <v>28227</v>
      </c>
      <c r="G13" s="64">
        <v>34107</v>
      </c>
      <c r="H13" s="81">
        <v>31618</v>
      </c>
    </row>
    <row r="14" spans="1:8">
      <c r="A14" s="25" t="s">
        <v>9</v>
      </c>
      <c r="B14" s="11" t="s">
        <v>8</v>
      </c>
      <c r="C14" s="26">
        <f t="shared" ref="C14:H14" si="0">SUM(C16+C61)</f>
        <v>264884.44</v>
      </c>
      <c r="D14" s="6">
        <f t="shared" si="0"/>
        <v>57248</v>
      </c>
      <c r="E14" s="6">
        <f t="shared" si="0"/>
        <v>149040</v>
      </c>
      <c r="F14" s="6" t="e">
        <f t="shared" si="0"/>
        <v>#REF!</v>
      </c>
      <c r="G14" s="6" t="e">
        <f t="shared" si="0"/>
        <v>#REF!</v>
      </c>
      <c r="H14" s="6">
        <f t="shared" si="0"/>
        <v>174666.23400000003</v>
      </c>
    </row>
    <row r="15" spans="1:8">
      <c r="A15" s="27" t="s">
        <v>10</v>
      </c>
      <c r="B15" s="7" t="s">
        <v>8</v>
      </c>
      <c r="C15" s="7"/>
      <c r="D15" s="7"/>
      <c r="E15" s="7"/>
      <c r="F15" s="7"/>
      <c r="G15" s="10"/>
      <c r="H15" s="7"/>
    </row>
    <row r="16" spans="1:8">
      <c r="A16" s="28" t="s">
        <v>11</v>
      </c>
      <c r="B16" s="6"/>
      <c r="C16" s="6">
        <f t="shared" ref="C16:H16" si="1">SUM(C17:C20)</f>
        <v>264834.44</v>
      </c>
      <c r="D16" s="6">
        <f t="shared" si="1"/>
        <v>57198</v>
      </c>
      <c r="E16" s="6">
        <f t="shared" si="1"/>
        <v>149040</v>
      </c>
      <c r="F16" s="6" t="e">
        <f t="shared" si="1"/>
        <v>#REF!</v>
      </c>
      <c r="G16" s="6" t="e">
        <f t="shared" si="1"/>
        <v>#REF!</v>
      </c>
      <c r="H16" s="6">
        <f t="shared" si="1"/>
        <v>172136.63400000002</v>
      </c>
    </row>
    <row r="17" spans="1:8">
      <c r="A17" s="29" t="s">
        <v>12</v>
      </c>
      <c r="B17" s="24" t="s">
        <v>8</v>
      </c>
      <c r="C17" s="8">
        <f t="shared" ref="C17:C18" si="2">D17+E17</f>
        <v>162148</v>
      </c>
      <c r="D17" s="30">
        <f>3277*4</f>
        <v>13108</v>
      </c>
      <c r="E17" s="30">
        <f>37260*4</f>
        <v>149040</v>
      </c>
      <c r="F17" s="30">
        <f>22715.879-2686.27-552.942-2748-29.272+2748</f>
        <v>19447.395</v>
      </c>
      <c r="G17" s="30">
        <f>89083.043-4185.762-4506+4506</f>
        <v>84897.281000000003</v>
      </c>
      <c r="H17" s="24">
        <f t="shared" ref="H17:H18" si="3">SUM(F17:G17)</f>
        <v>104344.67600000001</v>
      </c>
    </row>
    <row r="18" spans="1:8">
      <c r="A18" s="31" t="s">
        <v>13</v>
      </c>
      <c r="B18" s="24" t="s">
        <v>8</v>
      </c>
      <c r="C18" s="8">
        <f t="shared" si="2"/>
        <v>43140</v>
      </c>
      <c r="D18" s="32">
        <f>10785*4</f>
        <v>43140</v>
      </c>
      <c r="E18" s="32">
        <v>0</v>
      </c>
      <c r="F18" s="32">
        <f>31698.96+12452.248</f>
        <v>44151.207999999999</v>
      </c>
      <c r="G18" s="32">
        <v>0</v>
      </c>
      <c r="H18" s="24">
        <f t="shared" si="3"/>
        <v>44151.207999999999</v>
      </c>
    </row>
    <row r="19" spans="1:8">
      <c r="A19" s="31" t="s">
        <v>79</v>
      </c>
      <c r="B19" s="24" t="s">
        <v>8</v>
      </c>
      <c r="C19" s="8">
        <v>58596.44</v>
      </c>
      <c r="D19" s="32"/>
      <c r="E19" s="32"/>
      <c r="F19" s="32"/>
      <c r="G19" s="32"/>
      <c r="H19" s="24">
        <v>20605.78</v>
      </c>
    </row>
    <row r="20" spans="1:8">
      <c r="A20" s="33" t="s">
        <v>52</v>
      </c>
      <c r="B20" s="24" t="s">
        <v>8</v>
      </c>
      <c r="C20" s="8">
        <f>D20+E20</f>
        <v>950</v>
      </c>
      <c r="D20" s="32">
        <f>(250-12.5)*4</f>
        <v>950</v>
      </c>
      <c r="E20" s="32">
        <v>0</v>
      </c>
      <c r="F20" s="32" t="e">
        <f>SUM(#REF!)</f>
        <v>#REF!</v>
      </c>
      <c r="G20" s="32" t="e">
        <f>SUM(#REF!)</f>
        <v>#REF!</v>
      </c>
      <c r="H20" s="24">
        <v>3034.97</v>
      </c>
    </row>
    <row r="21" spans="1:8">
      <c r="A21" s="25" t="s">
        <v>14</v>
      </c>
      <c r="B21" s="11" t="s">
        <v>8</v>
      </c>
      <c r="C21" s="34">
        <f t="shared" ref="C21:H21" si="4">SUM(C23+C64)</f>
        <v>262164.64</v>
      </c>
      <c r="D21" s="34">
        <f t="shared" si="4"/>
        <v>57272.999999999993</v>
      </c>
      <c r="E21" s="34">
        <f t="shared" si="4"/>
        <v>204891.63999999998</v>
      </c>
      <c r="F21" s="34">
        <f t="shared" si="4"/>
        <v>71720.044000000009</v>
      </c>
      <c r="G21" s="34">
        <f t="shared" si="4"/>
        <v>245281.07899999997</v>
      </c>
      <c r="H21" s="34">
        <f t="shared" si="4"/>
        <v>874065.14599999995</v>
      </c>
    </row>
    <row r="22" spans="1:8">
      <c r="A22" s="35" t="s">
        <v>15</v>
      </c>
      <c r="B22" s="36" t="s">
        <v>8</v>
      </c>
      <c r="C22" s="7"/>
      <c r="D22" s="7"/>
      <c r="E22" s="7"/>
      <c r="F22" s="7"/>
      <c r="G22" s="10"/>
      <c r="H22" s="22"/>
    </row>
    <row r="23" spans="1:8">
      <c r="A23" s="25" t="s">
        <v>16</v>
      </c>
      <c r="B23" s="37"/>
      <c r="C23" s="11">
        <f t="shared" ref="C23:H23" si="5">SUM(C25+C31+C36+C38+C40)</f>
        <v>197558.96</v>
      </c>
      <c r="D23" s="11">
        <f t="shared" si="5"/>
        <v>55797.999999999993</v>
      </c>
      <c r="E23" s="11">
        <f t="shared" si="5"/>
        <v>141760.95999999999</v>
      </c>
      <c r="F23" s="11">
        <f t="shared" si="5"/>
        <v>69077.744000000006</v>
      </c>
      <c r="G23" s="11">
        <f t="shared" si="5"/>
        <v>206525.71699999998</v>
      </c>
      <c r="H23" s="11">
        <f t="shared" si="5"/>
        <v>276526.17</v>
      </c>
    </row>
    <row r="24" spans="1:8">
      <c r="A24" s="27" t="s">
        <v>17</v>
      </c>
      <c r="B24" s="10" t="s">
        <v>8</v>
      </c>
      <c r="C24" s="10"/>
      <c r="D24" s="7"/>
      <c r="E24" s="36"/>
      <c r="F24" s="36"/>
      <c r="G24" s="38"/>
      <c r="H24" s="22"/>
    </row>
    <row r="25" spans="1:8">
      <c r="A25" s="28" t="s">
        <v>16</v>
      </c>
      <c r="B25" s="39"/>
      <c r="C25" s="6">
        <f>SUM(C26:C30)</f>
        <v>51473.49</v>
      </c>
      <c r="D25" s="6">
        <f>SUM(D26:D30)</f>
        <v>10155</v>
      </c>
      <c r="E25" s="6">
        <f>SUM(E26:E30)</f>
        <v>41318.49</v>
      </c>
      <c r="F25" s="6">
        <f>SUM(F26:F30)</f>
        <v>14649.151000000002</v>
      </c>
      <c r="G25" s="6">
        <f>SUM(G26:G30)</f>
        <v>27046.623999999996</v>
      </c>
      <c r="H25" s="6">
        <f t="shared" ref="H25:H30" si="6">SUM(F25:G25)</f>
        <v>41695.774999999994</v>
      </c>
    </row>
    <row r="26" spans="1:8">
      <c r="A26" s="29" t="s">
        <v>18</v>
      </c>
      <c r="B26" s="24" t="s">
        <v>8</v>
      </c>
      <c r="C26" s="8">
        <f>SUM(D26+E26)</f>
        <v>22294.560000000001</v>
      </c>
      <c r="D26" s="30">
        <f>412.5*4</f>
        <v>1650</v>
      </c>
      <c r="E26" s="30">
        <f>5161.14*4</f>
        <v>20644.560000000001</v>
      </c>
      <c r="F26" s="66">
        <f>0.805+24.428+13.37+5.788+0.296+3.2+1.937+5.397+2.69+3.382+3.392+575.728+0.297+105.5+12.9+0.402+3.076+3.341+1.388+3.585+1023.577+1023.577+151.56+4.872+15.973+11.121+0.62+6.441+61.916+0.546+10.211+23.305+50.29+30.623+1135.21+15.067+9.216+34.245+38.275+3.12+92.908+120.255+5.665+100.082+5-795.425-152.951+202.996+795.425</f>
        <v>4794.6220000000003</v>
      </c>
      <c r="G26" s="66">
        <f>4.5+4106.935+7.794+347.792+46.556+249.992+230.285+96.682+1897.776+0.92+1380.688+18.599+722.658+10.536+54.594+51.565+10.294+8.942+78.325+22.198+178.035+1679.223+12.712+1.552+1.335+0.135+2.409+284.154+285.994+1.968+3.75+24.027+1.09+1297.554+15.33-1214.018-5.313-76.8-95.995</f>
        <v>11744.772999999999</v>
      </c>
      <c r="H26" s="24">
        <f t="shared" si="6"/>
        <v>16539.395</v>
      </c>
    </row>
    <row r="27" spans="1:8">
      <c r="A27" s="31" t="s">
        <v>19</v>
      </c>
      <c r="B27" s="24" t="s">
        <v>8</v>
      </c>
      <c r="C27" s="8">
        <f>SUM(D27+E27)</f>
        <v>2205</v>
      </c>
      <c r="D27" s="32">
        <f>551.25*4</f>
        <v>2205</v>
      </c>
      <c r="E27" s="32">
        <v>0</v>
      </c>
      <c r="F27" s="51">
        <f>2225.056+1027.623</f>
        <v>3252.6790000000001</v>
      </c>
      <c r="G27" s="51">
        <f>129.23+239.196+215.782+65.473+1.46</f>
        <v>651.14099999999996</v>
      </c>
      <c r="H27" s="24">
        <f t="shared" si="6"/>
        <v>3903.82</v>
      </c>
    </row>
    <row r="28" spans="1:8">
      <c r="A28" s="31" t="s">
        <v>20</v>
      </c>
      <c r="B28" s="24" t="s">
        <v>8</v>
      </c>
      <c r="C28" s="8">
        <f>SUM(D28+E28)</f>
        <v>20911</v>
      </c>
      <c r="D28" s="32">
        <f>1575*4</f>
        <v>6300</v>
      </c>
      <c r="E28" s="32">
        <f>3652.75*4</f>
        <v>14611</v>
      </c>
      <c r="F28" s="51">
        <f>4899.975+1095.46+517.788</f>
        <v>6513.223</v>
      </c>
      <c r="G28" s="51">
        <f>1934.3+382+536.3+283+308.1+539.9+1668.3</f>
        <v>5651.9000000000005</v>
      </c>
      <c r="H28" s="24">
        <f t="shared" si="6"/>
        <v>12165.123</v>
      </c>
    </row>
    <row r="29" spans="1:8">
      <c r="A29" s="31" t="s">
        <v>61</v>
      </c>
      <c r="B29" s="24" t="s">
        <v>8</v>
      </c>
      <c r="C29" s="8">
        <f>SUM(D29+E29)</f>
        <v>4897.3900000000003</v>
      </c>
      <c r="D29" s="32">
        <v>0</v>
      </c>
      <c r="E29" s="32">
        <f>1224.3475*4</f>
        <v>4897.3900000000003</v>
      </c>
      <c r="F29" s="51">
        <f>22.814+65.813</f>
        <v>88.62700000000001</v>
      </c>
      <c r="G29" s="51">
        <f>1.697+14.915+17.076+90.982+1174.218+43.417+18.25+4770.433+276.446-25.544</f>
        <v>6381.89</v>
      </c>
      <c r="H29" s="24">
        <f t="shared" si="6"/>
        <v>6470.5170000000007</v>
      </c>
    </row>
    <row r="30" spans="1:8">
      <c r="A30" s="31" t="s">
        <v>69</v>
      </c>
      <c r="B30" s="24" t="s">
        <v>8</v>
      </c>
      <c r="C30" s="8">
        <f>SUM(D30+E30)</f>
        <v>1165.54</v>
      </c>
      <c r="D30" s="32">
        <v>0</v>
      </c>
      <c r="E30" s="32">
        <f>291.385*4</f>
        <v>1165.54</v>
      </c>
      <c r="F30" s="51">
        <v>0</v>
      </c>
      <c r="G30" s="51">
        <f>2043.44+32.59+540.89</f>
        <v>2616.92</v>
      </c>
      <c r="H30" s="24">
        <f t="shared" si="6"/>
        <v>2616.92</v>
      </c>
    </row>
    <row r="31" spans="1:8">
      <c r="A31" s="33" t="s">
        <v>22</v>
      </c>
      <c r="B31" s="6" t="s">
        <v>21</v>
      </c>
      <c r="C31" s="6">
        <f>SUM(C32:C34)</f>
        <v>54429.67</v>
      </c>
      <c r="D31" s="6">
        <f>SUM(D32:D34)</f>
        <v>8520</v>
      </c>
      <c r="E31" s="6">
        <f>SUM(E32:E34)</f>
        <v>45909.67</v>
      </c>
      <c r="F31" s="6">
        <f t="shared" ref="F31:G31" si="7">SUM(F32:F34)</f>
        <v>9539.253999999999</v>
      </c>
      <c r="G31" s="6">
        <f t="shared" si="7"/>
        <v>72161.363999999987</v>
      </c>
      <c r="H31" s="6">
        <f>SUM(H32:H34)</f>
        <v>81739.850999999995</v>
      </c>
    </row>
    <row r="32" spans="1:8">
      <c r="A32" s="31" t="s">
        <v>23</v>
      </c>
      <c r="B32" s="24" t="s">
        <v>8</v>
      </c>
      <c r="C32" s="8">
        <f>SUM(D32+E32)</f>
        <v>2000</v>
      </c>
      <c r="D32" s="32">
        <f>500*4</f>
        <v>2000</v>
      </c>
      <c r="E32" s="32">
        <v>0</v>
      </c>
      <c r="F32" s="51">
        <f>11.656+3.057+1.7+571.875+1455+2842.103</f>
        <v>4885.3909999999996</v>
      </c>
      <c r="G32" s="51">
        <f>14.276+202.659+234.717+80+3.9+3.284+1512.97</f>
        <v>2051.806</v>
      </c>
      <c r="H32" s="24">
        <f t="shared" ref="H32:H34" si="8">SUM(F32:G32)</f>
        <v>6937.1970000000001</v>
      </c>
    </row>
    <row r="33" spans="1:8">
      <c r="A33" s="31" t="s">
        <v>24</v>
      </c>
      <c r="B33" s="24" t="s">
        <v>8</v>
      </c>
      <c r="C33" s="8">
        <f>SUM(D33+E33)</f>
        <v>46651.9</v>
      </c>
      <c r="D33" s="32">
        <f>258.75*4</f>
        <v>1035</v>
      </c>
      <c r="E33" s="32">
        <f>11404.225*4</f>
        <v>45616.9</v>
      </c>
      <c r="F33" s="51">
        <v>1259.4010000000001</v>
      </c>
      <c r="G33" s="51">
        <v>68821.808999999994</v>
      </c>
      <c r="H33" s="24">
        <v>70120.442999999999</v>
      </c>
    </row>
    <row r="34" spans="1:8">
      <c r="A34" s="40" t="s">
        <v>25</v>
      </c>
      <c r="B34" s="41" t="s">
        <v>8</v>
      </c>
      <c r="C34" s="8">
        <f>SUM(D34+E34)</f>
        <v>5777.77</v>
      </c>
      <c r="D34" s="42">
        <f>1371.25*4</f>
        <v>5485</v>
      </c>
      <c r="E34" s="42">
        <f>73.1925*4</f>
        <v>292.77</v>
      </c>
      <c r="F34" s="67">
        <f>1777.884+6.186+37.796+1334.984+82.874+119.843+795.425+34.895-795.425</f>
        <v>3394.4619999999995</v>
      </c>
      <c r="G34" s="67">
        <f>58.01+13.26+3.1+12.164+5+7.627+126.108+94.581+70.424+7.747+10+724.994+84.534+66.84+3.36</f>
        <v>1287.749</v>
      </c>
      <c r="H34" s="24">
        <f t="shared" si="8"/>
        <v>4682.2109999999993</v>
      </c>
    </row>
    <row r="35" spans="1:8">
      <c r="A35" s="27" t="s">
        <v>53</v>
      </c>
      <c r="B35" s="7"/>
      <c r="C35" s="7"/>
      <c r="D35" s="36"/>
      <c r="E35" s="36"/>
      <c r="F35" s="52"/>
      <c r="G35" s="53"/>
      <c r="H35" s="22"/>
    </row>
    <row r="36" spans="1:8">
      <c r="A36" s="43" t="s">
        <v>26</v>
      </c>
      <c r="B36" s="7" t="s">
        <v>8</v>
      </c>
      <c r="C36" s="6">
        <f>SUM(D36+E36)</f>
        <v>66749.88</v>
      </c>
      <c r="D36" s="37">
        <f>6425.94*4</f>
        <v>25703.759999999998</v>
      </c>
      <c r="E36" s="37">
        <f>10261.53*4</f>
        <v>41046.120000000003</v>
      </c>
      <c r="F36" s="68">
        <f>17272.796+1137.312+28.161+336.508+411.854+3866.455+6415.942</f>
        <v>29469.028000000002</v>
      </c>
      <c r="G36" s="54">
        <f>29982.51+2897.389+1472.19+74.671+1.081+19370.671+658.704+424.836+6569.119+4179.247+8860.11</f>
        <v>74490.528000000006</v>
      </c>
      <c r="H36" s="6">
        <f>SUM(F36:G36)</f>
        <v>103959.55600000001</v>
      </c>
    </row>
    <row r="37" spans="1:8">
      <c r="A37" s="76" t="s">
        <v>54</v>
      </c>
      <c r="B37" s="15"/>
      <c r="C37" s="11"/>
      <c r="D37" s="7"/>
      <c r="E37" s="7"/>
      <c r="F37" s="55"/>
      <c r="G37" s="55"/>
      <c r="H37" s="7"/>
    </row>
    <row r="38" spans="1:8" ht="25.95" customHeight="1">
      <c r="A38" s="77"/>
      <c r="B38" s="7" t="s">
        <v>8</v>
      </c>
      <c r="C38" s="6">
        <f>SUM(D38+E38)</f>
        <v>20225.239999999998</v>
      </c>
      <c r="D38" s="6">
        <f>1947.06*4</f>
        <v>7788.24</v>
      </c>
      <c r="E38" s="6">
        <f>3109.25*4</f>
        <v>12437</v>
      </c>
      <c r="F38" s="26">
        <f>5462.97+345.129+8.532+102.117+124.006+1163.699+1809.792</f>
        <v>9016.2450000000008</v>
      </c>
      <c r="G38" s="26">
        <f>868.698+444.044+21.96+8899.19+5867.451+195.145+128.725+1952.836+26.624+2499.236+1120.348</f>
        <v>22024.256999999998</v>
      </c>
      <c r="H38" s="6">
        <f>SUM(F38:G38)</f>
        <v>31040.502</v>
      </c>
    </row>
    <row r="39" spans="1:8">
      <c r="A39" s="45" t="s">
        <v>55</v>
      </c>
      <c r="B39" s="10" t="s">
        <v>8</v>
      </c>
      <c r="C39" s="7"/>
      <c r="D39" s="7"/>
      <c r="E39" s="7"/>
      <c r="F39" s="7"/>
      <c r="G39" s="10"/>
      <c r="H39" s="22"/>
    </row>
    <row r="40" spans="1:8">
      <c r="A40" s="28" t="s">
        <v>27</v>
      </c>
      <c r="B40" s="39"/>
      <c r="C40" s="6">
        <f t="shared" ref="C40:C51" si="9">SUM(D40+E40)</f>
        <v>4680.68</v>
      </c>
      <c r="D40" s="6">
        <f>SUM(D41:D60)</f>
        <v>3631</v>
      </c>
      <c r="E40" s="6">
        <f>SUM(E41:E60)</f>
        <v>1049.68</v>
      </c>
      <c r="F40" s="6">
        <f>SUM(F41:F60)</f>
        <v>6404.0659999999998</v>
      </c>
      <c r="G40" s="6">
        <f>SUM(G41:G60)</f>
        <v>10802.944</v>
      </c>
      <c r="H40" s="6">
        <f>SUM(H41:H60)</f>
        <v>18090.485999999997</v>
      </c>
    </row>
    <row r="41" spans="1:8">
      <c r="A41" s="29" t="s">
        <v>28</v>
      </c>
      <c r="B41" s="24" t="s">
        <v>8</v>
      </c>
      <c r="C41" s="17">
        <f t="shared" si="9"/>
        <v>966.52</v>
      </c>
      <c r="D41" s="30">
        <f>200*4</f>
        <v>800</v>
      </c>
      <c r="E41" s="30">
        <f>41.63*4</f>
        <v>166.52</v>
      </c>
      <c r="F41" s="66">
        <f>69.965+80</f>
        <v>149.965</v>
      </c>
      <c r="G41" s="66">
        <f>36.472+55+101.5</f>
        <v>192.97200000000001</v>
      </c>
      <c r="H41" s="24">
        <f t="shared" ref="H41:H63" si="10">SUM(F41:G41)</f>
        <v>342.93700000000001</v>
      </c>
    </row>
    <row r="42" spans="1:8">
      <c r="A42" s="31" t="s">
        <v>62</v>
      </c>
      <c r="B42" s="24" t="s">
        <v>8</v>
      </c>
      <c r="C42" s="17">
        <f t="shared" si="9"/>
        <v>123.68</v>
      </c>
      <c r="D42" s="32">
        <f>30*4</f>
        <v>120</v>
      </c>
      <c r="E42" s="32">
        <f>0.92*4</f>
        <v>3.68</v>
      </c>
      <c r="F42" s="51">
        <f>7.049+9.98+0.809+188.881</f>
        <v>206.71899999999999</v>
      </c>
      <c r="G42" s="51">
        <f>9.551+7.3+353.998</f>
        <v>370.84899999999999</v>
      </c>
      <c r="H42" s="24">
        <f t="shared" si="10"/>
        <v>577.56799999999998</v>
      </c>
    </row>
    <row r="43" spans="1:8">
      <c r="A43" s="31" t="s">
        <v>44</v>
      </c>
      <c r="B43" s="24" t="s">
        <v>8</v>
      </c>
      <c r="C43" s="17">
        <f t="shared" si="9"/>
        <v>300</v>
      </c>
      <c r="D43" s="32">
        <f>75*4</f>
        <v>300</v>
      </c>
      <c r="E43" s="32">
        <v>0</v>
      </c>
      <c r="F43" s="51">
        <v>87.353999999999999</v>
      </c>
      <c r="G43" s="51">
        <f>1093.95+1060.65+591.575</f>
        <v>2746.1750000000002</v>
      </c>
      <c r="H43" s="24">
        <f t="shared" si="10"/>
        <v>2833.529</v>
      </c>
    </row>
    <row r="44" spans="1:8">
      <c r="A44" s="31" t="s">
        <v>29</v>
      </c>
      <c r="B44" s="24" t="s">
        <v>8</v>
      </c>
      <c r="C44" s="17">
        <f t="shared" si="9"/>
        <v>50</v>
      </c>
      <c r="D44" s="32">
        <f>12.5*4</f>
        <v>50</v>
      </c>
      <c r="E44" s="32">
        <v>0</v>
      </c>
      <c r="F44" s="51">
        <v>152.95099999999999</v>
      </c>
      <c r="G44" s="51">
        <f>3.6+3.6+3.6+3.6+3.6+3.6+3.6+2+2.1+3.6+4.1+3.6+3.6+1.6+14.4+16.6</f>
        <v>76.800000000000011</v>
      </c>
      <c r="H44" s="24">
        <f t="shared" si="10"/>
        <v>229.751</v>
      </c>
    </row>
    <row r="45" spans="1:8">
      <c r="A45" s="31" t="s">
        <v>30</v>
      </c>
      <c r="B45" s="24" t="s">
        <v>8</v>
      </c>
      <c r="C45" s="17">
        <f t="shared" si="9"/>
        <v>40</v>
      </c>
      <c r="D45" s="32">
        <f>10*4</f>
        <v>40</v>
      </c>
      <c r="E45" s="32">
        <v>0</v>
      </c>
      <c r="F45" s="51">
        <f>65+1.016+1.8</f>
        <v>67.816000000000003</v>
      </c>
      <c r="G45" s="51">
        <f>70</f>
        <v>70</v>
      </c>
      <c r="H45" s="24">
        <f t="shared" si="10"/>
        <v>137.816</v>
      </c>
    </row>
    <row r="46" spans="1:8">
      <c r="A46" s="31" t="s">
        <v>31</v>
      </c>
      <c r="B46" s="24" t="s">
        <v>8</v>
      </c>
      <c r="C46" s="17">
        <f t="shared" si="9"/>
        <v>110</v>
      </c>
      <c r="D46" s="32">
        <f>27.5*4</f>
        <v>110</v>
      </c>
      <c r="E46" s="32">
        <v>0</v>
      </c>
      <c r="F46" s="51">
        <f>20.9</f>
        <v>20.9</v>
      </c>
      <c r="G46" s="51">
        <v>0</v>
      </c>
      <c r="H46" s="24">
        <f t="shared" si="10"/>
        <v>20.9</v>
      </c>
    </row>
    <row r="47" spans="1:8">
      <c r="A47" s="31" t="s">
        <v>32</v>
      </c>
      <c r="B47" s="24" t="s">
        <v>8</v>
      </c>
      <c r="C47" s="17">
        <f t="shared" si="9"/>
        <v>905.68</v>
      </c>
      <c r="D47" s="32">
        <f>72.5*4</f>
        <v>290</v>
      </c>
      <c r="E47" s="32">
        <f>153.92*4</f>
        <v>615.67999999999995</v>
      </c>
      <c r="F47" s="51">
        <f>35.059+10.211+4.872+82.874</f>
        <v>133.01599999999999</v>
      </c>
      <c r="G47" s="51">
        <f>285.994+200.233+230.285</f>
        <v>716.51200000000006</v>
      </c>
      <c r="H47" s="24">
        <f>SUM(F47:G47)</f>
        <v>849.52800000000002</v>
      </c>
    </row>
    <row r="48" spans="1:8">
      <c r="A48" s="31" t="s">
        <v>33</v>
      </c>
      <c r="B48" s="24" t="s">
        <v>8</v>
      </c>
      <c r="C48" s="17">
        <f t="shared" si="9"/>
        <v>1934.8</v>
      </c>
      <c r="D48" s="32">
        <f>417.75*4</f>
        <v>1671</v>
      </c>
      <c r="E48" s="32">
        <f>65.95*4</f>
        <v>263.8</v>
      </c>
      <c r="F48" s="51">
        <f>424.8+1008+709.92</f>
        <v>2142.7199999999998</v>
      </c>
      <c r="G48" s="51">
        <f>632.4+648+1482.6</f>
        <v>2763</v>
      </c>
      <c r="H48" s="24">
        <f t="shared" si="10"/>
        <v>4905.7199999999993</v>
      </c>
    </row>
    <row r="49" spans="1:8">
      <c r="A49" s="31" t="s">
        <v>34</v>
      </c>
      <c r="B49" s="24" t="s">
        <v>8</v>
      </c>
      <c r="C49" s="17">
        <f t="shared" si="9"/>
        <v>100</v>
      </c>
      <c r="D49" s="32">
        <f>25*4</f>
        <v>100</v>
      </c>
      <c r="E49" s="32">
        <v>0</v>
      </c>
      <c r="F49" s="51">
        <v>0</v>
      </c>
      <c r="G49" s="51">
        <v>150</v>
      </c>
      <c r="H49" s="24">
        <f t="shared" si="10"/>
        <v>150</v>
      </c>
    </row>
    <row r="50" spans="1:8">
      <c r="A50" s="31" t="s">
        <v>35</v>
      </c>
      <c r="B50" s="24" t="s">
        <v>8</v>
      </c>
      <c r="C50" s="17">
        <f t="shared" si="9"/>
        <v>150</v>
      </c>
      <c r="D50" s="32">
        <f>37.5*4</f>
        <v>150</v>
      </c>
      <c r="E50" s="32">
        <v>0</v>
      </c>
      <c r="F50" s="51">
        <v>117.044</v>
      </c>
      <c r="G50" s="51">
        <v>60.334000000000003</v>
      </c>
      <c r="H50" s="24">
        <v>1339.942</v>
      </c>
    </row>
    <row r="51" spans="1:8">
      <c r="A51" s="31" t="s">
        <v>65</v>
      </c>
      <c r="B51" s="24" t="s">
        <v>8</v>
      </c>
      <c r="C51" s="17">
        <f t="shared" si="9"/>
        <v>0</v>
      </c>
      <c r="D51" s="32">
        <v>0</v>
      </c>
      <c r="E51" s="32">
        <v>0</v>
      </c>
      <c r="F51" s="51">
        <f>18.095+126.946</f>
        <v>145.041</v>
      </c>
      <c r="G51" s="51">
        <v>0</v>
      </c>
      <c r="H51" s="24">
        <f t="shared" si="10"/>
        <v>145.041</v>
      </c>
    </row>
    <row r="52" spans="1:8">
      <c r="A52" s="31" t="s">
        <v>78</v>
      </c>
      <c r="B52" s="24" t="s">
        <v>8</v>
      </c>
      <c r="C52" s="17">
        <f t="shared" ref="C52" si="11">SUM(D52+E52)</f>
        <v>0</v>
      </c>
      <c r="D52" s="32">
        <v>0</v>
      </c>
      <c r="E52" s="32">
        <v>0</v>
      </c>
      <c r="F52" s="51">
        <f>842.07+31.512</f>
        <v>873.58200000000011</v>
      </c>
      <c r="G52" s="51">
        <v>0</v>
      </c>
      <c r="H52" s="24">
        <f t="shared" si="10"/>
        <v>873.58200000000011</v>
      </c>
    </row>
    <row r="53" spans="1:8">
      <c r="A53" s="31" t="s">
        <v>63</v>
      </c>
      <c r="B53" s="24" t="s">
        <v>8</v>
      </c>
      <c r="C53" s="8">
        <f t="shared" ref="C53:C57" si="12">SUM(D53+E53)</f>
        <v>0</v>
      </c>
      <c r="D53" s="32">
        <v>0</v>
      </c>
      <c r="E53" s="32">
        <v>0</v>
      </c>
      <c r="F53" s="51">
        <f>62.612+42.73+167.11</f>
        <v>272.452</v>
      </c>
      <c r="G53" s="51">
        <f>4.8+3.747</f>
        <v>8.5470000000000006</v>
      </c>
      <c r="H53" s="24">
        <f t="shared" si="10"/>
        <v>280.99900000000002</v>
      </c>
    </row>
    <row r="54" spans="1:8">
      <c r="A54" s="31" t="s">
        <v>64</v>
      </c>
      <c r="B54" s="24" t="s">
        <v>8</v>
      </c>
      <c r="C54" s="8">
        <f t="shared" si="12"/>
        <v>0</v>
      </c>
      <c r="D54" s="32">
        <v>0</v>
      </c>
      <c r="E54" s="32">
        <v>0</v>
      </c>
      <c r="F54" s="51">
        <v>8.6999999999999993</v>
      </c>
      <c r="G54" s="51">
        <v>0</v>
      </c>
      <c r="H54" s="24">
        <f t="shared" si="10"/>
        <v>8.6999999999999993</v>
      </c>
    </row>
    <row r="55" spans="1:8">
      <c r="A55" s="31" t="s">
        <v>41</v>
      </c>
      <c r="B55" s="24" t="s">
        <v>8</v>
      </c>
      <c r="C55" s="8">
        <f t="shared" si="12"/>
        <v>0</v>
      </c>
      <c r="D55" s="32">
        <v>0</v>
      </c>
      <c r="E55" s="32">
        <v>0</v>
      </c>
      <c r="F55" s="51">
        <f>67.5+17.5+4.5+65</f>
        <v>154.5</v>
      </c>
      <c r="G55" s="51">
        <f>2.2+8+5+5+5</f>
        <v>25.2</v>
      </c>
      <c r="H55" s="24">
        <f t="shared" si="10"/>
        <v>179.7</v>
      </c>
    </row>
    <row r="56" spans="1:8">
      <c r="A56" s="31" t="s">
        <v>75</v>
      </c>
      <c r="B56" s="24" t="s">
        <v>8</v>
      </c>
      <c r="C56" s="8">
        <f t="shared" si="12"/>
        <v>0</v>
      </c>
      <c r="D56" s="32">
        <v>0</v>
      </c>
      <c r="E56" s="32">
        <v>0</v>
      </c>
      <c r="F56" s="51">
        <f>227+7+7+15+80+108+369</f>
        <v>813</v>
      </c>
      <c r="G56" s="51">
        <v>0</v>
      </c>
      <c r="H56" s="24">
        <f t="shared" si="10"/>
        <v>813</v>
      </c>
    </row>
    <row r="57" spans="1:8">
      <c r="A57" s="31" t="s">
        <v>66</v>
      </c>
      <c r="B57" s="24" t="s">
        <v>8</v>
      </c>
      <c r="C57" s="17">
        <f t="shared" si="12"/>
        <v>0</v>
      </c>
      <c r="D57" s="32">
        <v>0</v>
      </c>
      <c r="E57" s="32">
        <v>0</v>
      </c>
      <c r="F57" s="51">
        <f>10.926</f>
        <v>10.926</v>
      </c>
      <c r="G57" s="51">
        <v>0</v>
      </c>
      <c r="H57" s="24">
        <f t="shared" si="10"/>
        <v>10.926</v>
      </c>
    </row>
    <row r="58" spans="1:8" ht="28.8">
      <c r="A58" s="65" t="s">
        <v>76</v>
      </c>
      <c r="B58" s="24" t="s">
        <v>8</v>
      </c>
      <c r="C58" s="17">
        <f t="shared" ref="C58" si="13">SUM(D58+E58)</f>
        <v>0</v>
      </c>
      <c r="D58" s="32">
        <v>0</v>
      </c>
      <c r="E58" s="32">
        <v>0</v>
      </c>
      <c r="F58" s="51">
        <v>289.47199999999998</v>
      </c>
      <c r="G58" s="51">
        <v>0</v>
      </c>
      <c r="H58" s="24">
        <f t="shared" si="10"/>
        <v>289.47199999999998</v>
      </c>
    </row>
    <row r="59" spans="1:8">
      <c r="A59" s="31" t="s">
        <v>77</v>
      </c>
      <c r="B59" s="24" t="s">
        <v>8</v>
      </c>
      <c r="C59" s="17">
        <f t="shared" ref="C59:C60" si="14">SUM(D59+E59)</f>
        <v>0</v>
      </c>
      <c r="D59" s="32">
        <v>0</v>
      </c>
      <c r="E59" s="32">
        <v>0</v>
      </c>
      <c r="F59" s="51">
        <v>121.017</v>
      </c>
      <c r="G59" s="51">
        <v>131.6</v>
      </c>
      <c r="H59" s="24">
        <f t="shared" si="10"/>
        <v>252.61699999999999</v>
      </c>
    </row>
    <row r="60" spans="1:8">
      <c r="A60" s="31" t="s">
        <v>43</v>
      </c>
      <c r="B60" s="24" t="s">
        <v>8</v>
      </c>
      <c r="C60" s="17">
        <f t="shared" si="14"/>
        <v>0</v>
      </c>
      <c r="D60" s="32">
        <v>0</v>
      </c>
      <c r="E60" s="32">
        <v>0</v>
      </c>
      <c r="F60" s="51">
        <f>3.779+6.094+16.709+102.925+18.559+39.551+30.084+0.398+3.82+363.869+51.103</f>
        <v>636.89099999999996</v>
      </c>
      <c r="G60" s="51">
        <f>253.548+174.316+138.204+36+2.586+401.716+90+5.02+13.72+43.354+24.08+111.36+284.478+15.547+23.1+38.618+11.496+207.042+6.6+1610.17</f>
        <v>3490.9549999999999</v>
      </c>
      <c r="H60" s="24">
        <v>3848.7579999999998</v>
      </c>
    </row>
    <row r="61" spans="1:8">
      <c r="A61" s="33" t="s">
        <v>56</v>
      </c>
      <c r="B61" s="6" t="s">
        <v>8</v>
      </c>
      <c r="C61" s="6">
        <f>SUM(C62:C63)</f>
        <v>50</v>
      </c>
      <c r="D61" s="6">
        <f>SUM(D62:D63)</f>
        <v>50</v>
      </c>
      <c r="E61" s="6">
        <f>SUM(E62:E63)</f>
        <v>0</v>
      </c>
      <c r="F61" s="6">
        <f t="shared" ref="F61:G61" si="15">SUM(F62:F63)</f>
        <v>1096.2</v>
      </c>
      <c r="G61" s="6">
        <f t="shared" si="15"/>
        <v>1433.4</v>
      </c>
      <c r="H61" s="6">
        <f>SUM(H62:H63)</f>
        <v>2529.6000000000004</v>
      </c>
    </row>
    <row r="62" spans="1:8">
      <c r="A62" s="31" t="s">
        <v>47</v>
      </c>
      <c r="B62" s="24" t="s">
        <v>8</v>
      </c>
      <c r="C62" s="17">
        <f t="shared" ref="C62:C63" si="16">SUM(D62+E62)</f>
        <v>50</v>
      </c>
      <c r="D62" s="32">
        <f>12.5*4</f>
        <v>50</v>
      </c>
      <c r="E62" s="32">
        <v>0</v>
      </c>
      <c r="F62" s="51">
        <v>60</v>
      </c>
      <c r="G62" s="51">
        <v>0</v>
      </c>
      <c r="H62" s="24">
        <f t="shared" si="10"/>
        <v>60</v>
      </c>
    </row>
    <row r="63" spans="1:8">
      <c r="A63" s="31" t="s">
        <v>67</v>
      </c>
      <c r="B63" s="24" t="s">
        <v>8</v>
      </c>
      <c r="C63" s="17">
        <f t="shared" si="16"/>
        <v>0</v>
      </c>
      <c r="D63" s="32">
        <v>0</v>
      </c>
      <c r="E63" s="32">
        <v>0</v>
      </c>
      <c r="F63" s="51">
        <f>786.5+5.1+244.6</f>
        <v>1036.2</v>
      </c>
      <c r="G63" s="51">
        <v>1433.4</v>
      </c>
      <c r="H63" s="24">
        <f t="shared" si="10"/>
        <v>2469.6000000000004</v>
      </c>
    </row>
    <row r="64" spans="1:8">
      <c r="A64" s="33" t="s">
        <v>57</v>
      </c>
      <c r="B64" s="6" t="s">
        <v>8</v>
      </c>
      <c r="C64" s="6">
        <f>SUM(C65:C68)</f>
        <v>64605.68</v>
      </c>
      <c r="D64" s="6">
        <f>SUM(D65:D68)</f>
        <v>1475</v>
      </c>
      <c r="E64" s="6">
        <f t="shared" ref="E64:H64" si="17">SUM(E65:E68)</f>
        <v>63130.68</v>
      </c>
      <c r="F64" s="26">
        <f t="shared" si="17"/>
        <v>2642.3</v>
      </c>
      <c r="G64" s="26">
        <f t="shared" si="17"/>
        <v>38755.362000000001</v>
      </c>
      <c r="H64" s="6">
        <f t="shared" si="17"/>
        <v>597538.97600000002</v>
      </c>
    </row>
    <row r="65" spans="1:8">
      <c r="A65" s="31" t="s">
        <v>36</v>
      </c>
      <c r="B65" s="24" t="s">
        <v>8</v>
      </c>
      <c r="C65" s="17">
        <f t="shared" ref="C65:C68" si="18">SUM(D65+E65)</f>
        <v>400</v>
      </c>
      <c r="D65" s="32">
        <f>100*4</f>
        <v>400</v>
      </c>
      <c r="E65" s="32">
        <v>0</v>
      </c>
      <c r="F65" s="51">
        <f>223.1+1.4</f>
        <v>224.5</v>
      </c>
      <c r="G65" s="51">
        <v>0</v>
      </c>
      <c r="H65" s="24">
        <f t="shared" ref="H65:H68" si="19">SUM(F65:G65)</f>
        <v>224.5</v>
      </c>
    </row>
    <row r="66" spans="1:8">
      <c r="A66" s="31" t="s">
        <v>37</v>
      </c>
      <c r="B66" s="24" t="s">
        <v>8</v>
      </c>
      <c r="C66" s="17">
        <f t="shared" si="18"/>
        <v>440</v>
      </c>
      <c r="D66" s="32">
        <f>110*4</f>
        <v>440</v>
      </c>
      <c r="E66" s="32">
        <v>0</v>
      </c>
      <c r="F66" s="51">
        <v>723.7</v>
      </c>
      <c r="G66" s="51">
        <v>0</v>
      </c>
      <c r="H66" s="24">
        <f t="shared" si="19"/>
        <v>723.7</v>
      </c>
    </row>
    <row r="67" spans="1:8">
      <c r="A67" s="31" t="s">
        <v>42</v>
      </c>
      <c r="B67" s="24" t="s">
        <v>8</v>
      </c>
      <c r="C67" s="17">
        <f t="shared" si="18"/>
        <v>250</v>
      </c>
      <c r="D67" s="32">
        <f>62.5*4</f>
        <v>250</v>
      </c>
      <c r="E67" s="32">
        <v>0</v>
      </c>
      <c r="F67" s="51">
        <f>299.3+160+48.3+5.7+92.7+155+146.1</f>
        <v>907.10000000000014</v>
      </c>
      <c r="G67" s="51">
        <f>482.4+1142.7+22.5+9.5+8.5+1.3+640.9+127.4+4.9+2.477</f>
        <v>2442.5769999999998</v>
      </c>
      <c r="H67" s="24">
        <v>560416.76500000001</v>
      </c>
    </row>
    <row r="68" spans="1:8">
      <c r="A68" s="31" t="s">
        <v>35</v>
      </c>
      <c r="B68" s="24" t="s">
        <v>8</v>
      </c>
      <c r="C68" s="17">
        <f t="shared" si="18"/>
        <v>63515.68</v>
      </c>
      <c r="D68" s="32">
        <f>96.25*4</f>
        <v>385</v>
      </c>
      <c r="E68" s="32">
        <f>15782.67*4</f>
        <v>63130.68</v>
      </c>
      <c r="F68" s="51">
        <v>787</v>
      </c>
      <c r="G68" s="51">
        <f>36294+18.785</f>
        <v>36312.785000000003</v>
      </c>
      <c r="H68" s="24">
        <v>36174.010999999999</v>
      </c>
    </row>
    <row r="69" spans="1:8">
      <c r="A69" s="33" t="s">
        <v>58</v>
      </c>
      <c r="B69" s="46" t="s">
        <v>8</v>
      </c>
      <c r="C69" s="34">
        <f t="shared" ref="C69:H69" si="20">SUM(C14-C21)</f>
        <v>2719.7999999999884</v>
      </c>
      <c r="D69" s="34">
        <f t="shared" si="20"/>
        <v>-24.999999999992724</v>
      </c>
      <c r="E69" s="34">
        <f t="shared" si="20"/>
        <v>-55851.639999999985</v>
      </c>
      <c r="F69" s="34" t="e">
        <f t="shared" si="20"/>
        <v>#REF!</v>
      </c>
      <c r="G69" s="34" t="e">
        <f t="shared" si="20"/>
        <v>#REF!</v>
      </c>
      <c r="H69" s="34">
        <f t="shared" si="20"/>
        <v>-699398.91199999989</v>
      </c>
    </row>
    <row r="70" spans="1:8">
      <c r="A70" s="33" t="s">
        <v>59</v>
      </c>
      <c r="B70" s="11" t="s">
        <v>8</v>
      </c>
      <c r="C70" s="15">
        <f>525*3+137.28</f>
        <v>1712.28</v>
      </c>
      <c r="D70" s="15">
        <f>525*3</f>
        <v>1575</v>
      </c>
      <c r="E70" s="15">
        <f>45.76*3</f>
        <v>137.28</v>
      </c>
      <c r="F70" s="15"/>
      <c r="G70" s="15"/>
      <c r="H70" s="22"/>
    </row>
    <row r="71" spans="1:8">
      <c r="A71" s="27" t="s">
        <v>60</v>
      </c>
      <c r="B71" s="35"/>
      <c r="C71" s="7"/>
      <c r="D71" s="36"/>
      <c r="E71" s="36"/>
      <c r="F71" s="36"/>
      <c r="G71" s="38"/>
      <c r="H71" s="22"/>
    </row>
    <row r="72" spans="1:8">
      <c r="A72" s="43" t="s">
        <v>38</v>
      </c>
      <c r="B72" s="11" t="s">
        <v>8</v>
      </c>
      <c r="C72" s="11"/>
      <c r="D72" s="37"/>
      <c r="E72" s="37"/>
      <c r="F72" s="37"/>
      <c r="G72" s="44"/>
      <c r="H72" s="41"/>
    </row>
    <row r="73" spans="1:8">
      <c r="A73" s="28" t="s">
        <v>39</v>
      </c>
      <c r="B73" s="47"/>
      <c r="C73" s="6"/>
      <c r="D73" s="48"/>
      <c r="E73" s="48"/>
      <c r="F73" s="48"/>
      <c r="G73" s="49"/>
      <c r="H73" s="24"/>
    </row>
    <row r="74" spans="1:8">
      <c r="A74" s="50"/>
      <c r="B74" s="50"/>
      <c r="C74" s="4"/>
      <c r="D74" s="50"/>
      <c r="E74" s="50"/>
      <c r="F74" s="50"/>
      <c r="G74" s="50"/>
      <c r="H74" s="50"/>
    </row>
    <row r="75" spans="1:8">
      <c r="A75" s="50"/>
      <c r="B75" s="50"/>
      <c r="C75" s="4"/>
      <c r="D75" s="50"/>
      <c r="E75" s="50"/>
      <c r="F75" s="50"/>
      <c r="G75" s="50"/>
      <c r="H75" s="50"/>
    </row>
    <row r="76" spans="1:8" ht="15.6">
      <c r="A76" s="5" t="s">
        <v>48</v>
      </c>
      <c r="B76" s="14"/>
      <c r="C76" s="9"/>
      <c r="D76" s="14" t="s">
        <v>49</v>
      </c>
      <c r="E76" s="14" t="s">
        <v>50</v>
      </c>
      <c r="F76" s="14"/>
      <c r="G76" s="14" t="s">
        <v>68</v>
      </c>
      <c r="H76" s="69" t="s">
        <v>49</v>
      </c>
    </row>
    <row r="77" spans="1:8">
      <c r="A77" s="50"/>
      <c r="B77" s="50"/>
      <c r="C77" s="50"/>
      <c r="D77" s="50"/>
      <c r="E77" s="50"/>
      <c r="F77" s="50"/>
      <c r="G77" s="50"/>
      <c r="H77" s="50"/>
    </row>
  </sheetData>
  <mergeCells count="8">
    <mergeCell ref="D7:E7"/>
    <mergeCell ref="F7:G7"/>
    <mergeCell ref="H7:H9"/>
    <mergeCell ref="A37:A38"/>
    <mergeCell ref="A3:H3"/>
    <mergeCell ref="A4:H4"/>
    <mergeCell ref="A5:H5"/>
    <mergeCell ref="A6:H6"/>
  </mergeCells>
  <pageMargins left="0" right="0" top="0" bottom="0" header="0" footer="0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2014-04-13T23:49:11Z</dcterms:modified>
</cp:coreProperties>
</file>